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495" activeTab="2"/>
  </bookViews>
  <sheets>
    <sheet name="соглашения" sheetId="1" r:id="rId1"/>
    <sheet name="пфхд дох горизонт" sheetId="2" r:id="rId2"/>
    <sheet name="пфхд расх горизонт" sheetId="3" r:id="rId3"/>
  </sheets>
  <definedNames/>
  <calcPr fullCalcOnLoad="1"/>
</workbook>
</file>

<file path=xl/sharedStrings.xml><?xml version="1.0" encoding="utf-8"?>
<sst xmlns="http://schemas.openxmlformats.org/spreadsheetml/2006/main" count="92" uniqueCount="82">
  <si>
    <t>№ п/п</t>
  </si>
  <si>
    <t>Наименование учреждения</t>
  </si>
  <si>
    <t>Лимиты ГРБС Администрация АМО по субсидиям на муниципальное задание</t>
  </si>
  <si>
    <t>Субсидия на  выполнение муниципального задания по Соглашению</t>
  </si>
  <si>
    <t>Отклонение соглашения и лимитов</t>
  </si>
  <si>
    <t>Остаток непрофинансированной суммы субсидии на муниципальное задание</t>
  </si>
  <si>
    <t>Лимиты ГРБС Администрация АМО по субсидиям на иные цели</t>
  </si>
  <si>
    <t>Субсидия на иные цели по Соглашению</t>
  </si>
  <si>
    <t>Остаток непрофинансированной суммы субсидии на иные цели</t>
  </si>
  <si>
    <t>Лимиты ГРБС Администрация АМО ВСЕГО</t>
  </si>
  <si>
    <t>Соглашения 
ВСЕГО</t>
  </si>
  <si>
    <t>5=3-4</t>
  </si>
  <si>
    <t>7=4-6</t>
  </si>
  <si>
    <t>8=6-7</t>
  </si>
  <si>
    <t>10=7-9</t>
  </si>
  <si>
    <t>13=11-12</t>
  </si>
  <si>
    <t>МБДОУ "Детский сад № 15"</t>
  </si>
  <si>
    <t>МБДОУ "Детский сад № 16"</t>
  </si>
  <si>
    <t>МБДОУ "Детский сад № 19"</t>
  </si>
  <si>
    <t>МБДОУ "Детский сад № 23"</t>
  </si>
  <si>
    <t>МБДОУ "Детский сад № 30"</t>
  </si>
  <si>
    <t>МБОУ "БСОШ № 1"</t>
  </si>
  <si>
    <t>МБОУ "Гимназия"</t>
  </si>
  <si>
    <t>МБОУ "ООШ № 8 им. А.П.Чехова"</t>
  </si>
  <si>
    <t>МБОУ "СОШ п.Яйва"</t>
  </si>
  <si>
    <t>МБОУ "СОШ № 6"</t>
  </si>
  <si>
    <t>МБУ "АСШ"</t>
  </si>
  <si>
    <t>МБУ "ГДК"</t>
  </si>
  <si>
    <t>МБУ "КМ"</t>
  </si>
  <si>
    <t>МБУ "Редакция газеты "Боевой путь"</t>
  </si>
  <si>
    <t>МБУ "Химик"</t>
  </si>
  <si>
    <t>МБУ "ЦГБ"</t>
  </si>
  <si>
    <t>МБУ "ЮПИТЕР"</t>
  </si>
  <si>
    <t>МБУ ДО "ДШИ"</t>
  </si>
  <si>
    <t>МБУ ДО "ДЮЦ "Горизонт"</t>
  </si>
  <si>
    <t>ИТОГО</t>
  </si>
  <si>
    <t>Сводная бухгалтерская отчетность</t>
  </si>
  <si>
    <t>Отклонение</t>
  </si>
  <si>
    <t>Лимиты бюджетных обязательств ГРБС</t>
  </si>
  <si>
    <t>Соглашение</t>
  </si>
  <si>
    <t>ПФХД</t>
  </si>
  <si>
    <t>дата</t>
  </si>
  <si>
    <t>МЗ</t>
  </si>
  <si>
    <t>Иные цели</t>
  </si>
  <si>
    <t>12.01.2021</t>
  </si>
  <si>
    <t>10.02.2021</t>
  </si>
  <si>
    <t>01.03.2021</t>
  </si>
  <si>
    <t>24.03.2021</t>
  </si>
  <si>
    <t>13.04.2021</t>
  </si>
  <si>
    <t>02.07.2021</t>
  </si>
  <si>
    <t>19.07.2021</t>
  </si>
  <si>
    <t>10.08.2021</t>
  </si>
  <si>
    <t>12.10.2021</t>
  </si>
  <si>
    <t>09.11.2021
01.12.2021</t>
  </si>
  <si>
    <t>Наименование показателя</t>
  </si>
  <si>
    <t>Показатели ПФХД</t>
  </si>
  <si>
    <t>Утверждено плановых назначений на 2021 год                                   форма 0503737</t>
  </si>
  <si>
    <t>Отклонение ПФХД от плановых назначения</t>
  </si>
  <si>
    <t>Кассовые расходы  форма                            0503737</t>
  </si>
  <si>
    <t>Отклонение показателей ПФХД от кассового расхода</t>
  </si>
  <si>
    <t>Заработная плата (субсидии на выполнение мун.задания)</t>
  </si>
  <si>
    <t>Начисление на заработную плату (субсидии на выполнение мун.задания)</t>
  </si>
  <si>
    <t>Прочая закупка товаров, работ и услуг (субсидии на выполнение мун.задания)</t>
  </si>
  <si>
    <t>Закупка энергетических ресурсов(субсидии на выполнение мун.задания)</t>
  </si>
  <si>
    <t>Уплата налога на имущество организации и земельного налога(субсидии на выполнение мун.задания)</t>
  </si>
  <si>
    <t>Уплата иных платежей(субсидии на выполнение мун.задания)</t>
  </si>
  <si>
    <t>Итого</t>
  </si>
  <si>
    <t>Заработная плата (приносящий доход деятельность)</t>
  </si>
  <si>
    <t>Прочие выплаты(приносящий доход деятельность)</t>
  </si>
  <si>
    <t>Начисление на заработную плату (приносящий доход деятельность)</t>
  </si>
  <si>
    <t>Прочая закупка товаров, работ и услуг (приносящий доход деятельность)</t>
  </si>
  <si>
    <t>Заработная плата (субсидии на иные цели)</t>
  </si>
  <si>
    <t>Прочие выплаты(субсидии на иные цели)</t>
  </si>
  <si>
    <t>Начисление на заработную плату (субсидии на иные цели)</t>
  </si>
  <si>
    <t>Прочая закупка товаров, работ и услуг (субсидии на иные цели)</t>
  </si>
  <si>
    <t>Итото</t>
  </si>
  <si>
    <t>Всего</t>
  </si>
  <si>
    <r>
      <t xml:space="preserve">Приложение № 8 к заключению КСП АМО от 29.04.2022г. 
</t>
    </r>
    <r>
      <rPr>
        <b/>
        <sz val="11"/>
        <color indexed="8"/>
        <rFont val="Times New Roman"/>
        <family val="1"/>
      </rPr>
      <t>Анализ соглашений на предоставление субсидий, заключенных между учредителем и подведомственными муниципальными бюджетными учреждениями Александровского муниипального округа за 2021 год</t>
    </r>
  </si>
  <si>
    <t>Объем поступившей субсидии согласно ф. 0503737</t>
  </si>
  <si>
    <t>Объем поступишей  субсидии согласно ф. 0503737</t>
  </si>
  <si>
    <r>
      <t xml:space="preserve">Приложение № 9 к заключению КСП АМО от 29.04.2022г. 
</t>
    </r>
    <r>
      <rPr>
        <b/>
        <sz val="11"/>
        <color indexed="8"/>
        <rFont val="Times New Roman"/>
        <family val="1"/>
      </rPr>
      <t xml:space="preserve">Анализ плановых показателей по поступлениям ПФХД по МБУ ДО «ДЮЦ «Горизонт»   </t>
    </r>
  </si>
  <si>
    <r>
      <t xml:space="preserve">Приложение № 10 к заключению КСП АМО от 29.04.2022г. 
</t>
    </r>
    <r>
      <rPr>
        <b/>
        <sz val="11"/>
        <color indexed="8"/>
        <rFont val="Times New Roman"/>
        <family val="1"/>
      </rPr>
      <t xml:space="preserve">Анализ плановых показателей по выплатам ПФХД по МБУ ДО «ДЮЦ «Горизонт»  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</si>
</sst>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 style="hair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/>
    </xf>
    <xf numFmtId="14" fontId="49" fillId="0" borderId="15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49" fillId="0" borderId="16" xfId="0" applyNumberFormat="1" applyFont="1" applyBorder="1" applyAlignment="1">
      <alignment horizontal="center"/>
    </xf>
    <xf numFmtId="49" fontId="49" fillId="0" borderId="15" xfId="0" applyNumberFormat="1" applyFont="1" applyBorder="1" applyAlignment="1">
      <alignment horizontal="center"/>
    </xf>
    <xf numFmtId="2" fontId="49" fillId="0" borderId="17" xfId="0" applyNumberFormat="1" applyFont="1" applyBorder="1" applyAlignment="1">
      <alignment/>
    </xf>
    <xf numFmtId="14" fontId="49" fillId="0" borderId="18" xfId="0" applyNumberFormat="1" applyFont="1" applyBorder="1" applyAlignment="1">
      <alignment horizontal="center"/>
    </xf>
    <xf numFmtId="2" fontId="49" fillId="0" borderId="19" xfId="0" applyNumberFormat="1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49" fontId="49" fillId="0" borderId="18" xfId="0" applyNumberFormat="1" applyFont="1" applyBorder="1" applyAlignment="1">
      <alignment horizontal="center" wrapText="1"/>
    </xf>
    <xf numFmtId="2" fontId="49" fillId="0" borderId="21" xfId="0" applyNumberFormat="1" applyFont="1" applyBorder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wrapText="1"/>
    </xf>
    <xf numFmtId="4" fontId="46" fillId="33" borderId="10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right" wrapText="1"/>
    </xf>
    <xf numFmtId="0" fontId="46" fillId="0" borderId="22" xfId="0" applyFont="1" applyBorder="1" applyAlignment="1">
      <alignment horizontal="right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5.57421875" style="0" customWidth="1"/>
    <col min="2" max="2" width="29.28125" style="0" customWidth="1"/>
    <col min="3" max="3" width="14.8515625" style="0" customWidth="1"/>
    <col min="4" max="4" width="15.57421875" style="0" customWidth="1"/>
    <col min="5" max="5" width="13.7109375" style="0" customWidth="1"/>
    <col min="6" max="6" width="15.28125" style="0" customWidth="1"/>
    <col min="7" max="7" width="13.7109375" style="0" customWidth="1"/>
    <col min="8" max="8" width="14.00390625" style="0" customWidth="1"/>
    <col min="9" max="9" width="14.140625" style="0" customWidth="1"/>
    <col min="10" max="10" width="11.8515625" style="0" customWidth="1"/>
    <col min="11" max="11" width="14.8515625" style="0" customWidth="1"/>
    <col min="12" max="12" width="11.8515625" style="0" customWidth="1"/>
    <col min="13" max="14" width="15.421875" style="0" customWidth="1"/>
    <col min="15" max="15" width="12.421875" style="0" customWidth="1"/>
  </cols>
  <sheetData>
    <row r="1" spans="1:15" ht="33" customHeight="1">
      <c r="A1" s="34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2" customFormat="1" ht="67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78</v>
      </c>
      <c r="G2" s="1" t="s">
        <v>5</v>
      </c>
      <c r="H2" s="1" t="s">
        <v>6</v>
      </c>
      <c r="I2" s="1" t="s">
        <v>7</v>
      </c>
      <c r="J2" s="1" t="s">
        <v>4</v>
      </c>
      <c r="K2" s="1" t="s">
        <v>79</v>
      </c>
      <c r="L2" s="1" t="s">
        <v>8</v>
      </c>
      <c r="M2" s="1" t="s">
        <v>9</v>
      </c>
      <c r="N2" s="1" t="s">
        <v>10</v>
      </c>
      <c r="O2" s="1" t="s">
        <v>4</v>
      </c>
    </row>
    <row r="3" spans="1:15" s="2" customFormat="1" ht="11.25">
      <c r="A3" s="1">
        <v>1</v>
      </c>
      <c r="B3" s="3">
        <v>2</v>
      </c>
      <c r="C3" s="1">
        <v>3</v>
      </c>
      <c r="D3" s="1">
        <v>4</v>
      </c>
      <c r="E3" s="1" t="s">
        <v>11</v>
      </c>
      <c r="F3" s="1">
        <v>6</v>
      </c>
      <c r="G3" s="1" t="s">
        <v>12</v>
      </c>
      <c r="H3" s="1">
        <v>6</v>
      </c>
      <c r="I3" s="1">
        <v>7</v>
      </c>
      <c r="J3" s="1" t="s">
        <v>13</v>
      </c>
      <c r="K3" s="1">
        <v>9</v>
      </c>
      <c r="L3" s="1" t="s">
        <v>14</v>
      </c>
      <c r="M3" s="1">
        <v>11</v>
      </c>
      <c r="N3" s="1">
        <v>12</v>
      </c>
      <c r="O3" s="1" t="s">
        <v>15</v>
      </c>
    </row>
    <row r="4" spans="1:15" ht="15">
      <c r="A4" s="4">
        <v>1</v>
      </c>
      <c r="B4" s="5" t="s">
        <v>16</v>
      </c>
      <c r="C4" s="6">
        <v>40922791.41</v>
      </c>
      <c r="D4" s="7">
        <f>6171667.41+34751124</f>
        <v>40922791.41</v>
      </c>
      <c r="E4" s="7">
        <f>C4-D4</f>
        <v>0</v>
      </c>
      <c r="F4" s="7">
        <v>40922791.41</v>
      </c>
      <c r="G4" s="7">
        <f>D4-F4</f>
        <v>0</v>
      </c>
      <c r="H4" s="6">
        <v>4325807.7</v>
      </c>
      <c r="I4" s="7">
        <f>1219007.7+3106800</f>
        <v>4325807.7</v>
      </c>
      <c r="J4" s="6">
        <f>H4-I4</f>
        <v>0</v>
      </c>
      <c r="K4" s="7">
        <v>4325807.7</v>
      </c>
      <c r="L4" s="6">
        <f>I4-K4</f>
        <v>0</v>
      </c>
      <c r="M4" s="6">
        <f>C4+H4</f>
        <v>45248599.11</v>
      </c>
      <c r="N4" s="7">
        <f>D4+I4</f>
        <v>45248599.11</v>
      </c>
      <c r="O4" s="7">
        <f>M4-N4</f>
        <v>0</v>
      </c>
    </row>
    <row r="5" spans="1:15" ht="15">
      <c r="A5" s="4">
        <v>2</v>
      </c>
      <c r="B5" s="5" t="s">
        <v>17</v>
      </c>
      <c r="C5" s="6">
        <v>39088235.49</v>
      </c>
      <c r="D5" s="7">
        <f>6603504.49+32484731</f>
        <v>39088235.49</v>
      </c>
      <c r="E5" s="7">
        <f aca="true" t="shared" si="0" ref="E5:E23">C5-D5</f>
        <v>0</v>
      </c>
      <c r="F5" s="7">
        <v>39088235.49</v>
      </c>
      <c r="G5" s="7">
        <f aca="true" t="shared" si="1" ref="G5:G23">D5-F5</f>
        <v>0</v>
      </c>
      <c r="H5" s="6">
        <v>3380677.4</v>
      </c>
      <c r="I5" s="7">
        <f>603271.75+2777405.65</f>
        <v>3380677.4</v>
      </c>
      <c r="J5" s="6">
        <f aca="true" t="shared" si="2" ref="J5:J23">H5-I5</f>
        <v>0</v>
      </c>
      <c r="K5" s="7">
        <v>3380677.4</v>
      </c>
      <c r="L5" s="6">
        <f aca="true" t="shared" si="3" ref="L5:L23">I5-K5</f>
        <v>0</v>
      </c>
      <c r="M5" s="6">
        <f aca="true" t="shared" si="4" ref="M5:N22">C5+H5</f>
        <v>42468912.89</v>
      </c>
      <c r="N5" s="7">
        <f t="shared" si="4"/>
        <v>42468912.89</v>
      </c>
      <c r="O5" s="7">
        <f aca="true" t="shared" si="5" ref="O5:O22">M5-N5</f>
        <v>0</v>
      </c>
    </row>
    <row r="6" spans="1:15" ht="15">
      <c r="A6" s="4">
        <v>3</v>
      </c>
      <c r="B6" s="5" t="s">
        <v>18</v>
      </c>
      <c r="C6" s="6">
        <v>35510093.65</v>
      </c>
      <c r="D6" s="7">
        <f>6896839.65+28613254</f>
        <v>35510093.65</v>
      </c>
      <c r="E6" s="7">
        <f t="shared" si="0"/>
        <v>0</v>
      </c>
      <c r="F6" s="7">
        <v>35510093.65</v>
      </c>
      <c r="G6" s="7">
        <f t="shared" si="1"/>
        <v>0</v>
      </c>
      <c r="H6" s="6">
        <v>3016228.85</v>
      </c>
      <c r="I6" s="7">
        <f>623737.47+2392491.38</f>
        <v>3016228.8499999996</v>
      </c>
      <c r="J6" s="6">
        <f t="shared" si="2"/>
        <v>0</v>
      </c>
      <c r="K6" s="7">
        <v>2970194.63</v>
      </c>
      <c r="L6" s="6">
        <f t="shared" si="3"/>
        <v>46034.21999999974</v>
      </c>
      <c r="M6" s="6">
        <f t="shared" si="4"/>
        <v>38526322.5</v>
      </c>
      <c r="N6" s="7">
        <f t="shared" si="4"/>
        <v>38526322.5</v>
      </c>
      <c r="O6" s="7">
        <f t="shared" si="5"/>
        <v>0</v>
      </c>
    </row>
    <row r="7" spans="1:15" ht="15">
      <c r="A7" s="4">
        <v>4</v>
      </c>
      <c r="B7" s="5" t="s">
        <v>19</v>
      </c>
      <c r="C7" s="6">
        <v>30020491.82</v>
      </c>
      <c r="D7" s="7">
        <f>5059259.82+24961232</f>
        <v>30020491.82</v>
      </c>
      <c r="E7" s="7">
        <f t="shared" si="0"/>
        <v>0</v>
      </c>
      <c r="F7" s="7">
        <v>30020491.82</v>
      </c>
      <c r="G7" s="7">
        <f t="shared" si="1"/>
        <v>0</v>
      </c>
      <c r="H7" s="6">
        <v>3508976.69</v>
      </c>
      <c r="I7" s="7">
        <f>499479.43+3009497.26</f>
        <v>3508976.69</v>
      </c>
      <c r="J7" s="6">
        <f t="shared" si="2"/>
        <v>0</v>
      </c>
      <c r="K7" s="7">
        <v>3508976.69</v>
      </c>
      <c r="L7" s="6">
        <f t="shared" si="3"/>
        <v>0</v>
      </c>
      <c r="M7" s="6">
        <f t="shared" si="4"/>
        <v>33529468.51</v>
      </c>
      <c r="N7" s="7">
        <f t="shared" si="4"/>
        <v>33529468.51</v>
      </c>
      <c r="O7" s="7">
        <f t="shared" si="5"/>
        <v>0</v>
      </c>
    </row>
    <row r="8" spans="1:15" ht="15">
      <c r="A8" s="4">
        <v>5</v>
      </c>
      <c r="B8" s="5" t="s">
        <v>20</v>
      </c>
      <c r="C8" s="6">
        <v>21276004.31</v>
      </c>
      <c r="D8" s="7">
        <f>4836516.31+16439488</f>
        <v>21276004.31</v>
      </c>
      <c r="E8" s="7">
        <f t="shared" si="0"/>
        <v>0</v>
      </c>
      <c r="F8" s="7">
        <v>21276004.31</v>
      </c>
      <c r="G8" s="7">
        <f t="shared" si="1"/>
        <v>0</v>
      </c>
      <c r="H8" s="6">
        <v>2908732.4</v>
      </c>
      <c r="I8" s="7">
        <f>412094.85+2496637.55</f>
        <v>2908732.4</v>
      </c>
      <c r="J8" s="6">
        <f t="shared" si="2"/>
        <v>0</v>
      </c>
      <c r="K8" s="7">
        <v>2908732.4</v>
      </c>
      <c r="L8" s="6">
        <f t="shared" si="3"/>
        <v>0</v>
      </c>
      <c r="M8" s="6">
        <f t="shared" si="4"/>
        <v>24184736.709999997</v>
      </c>
      <c r="N8" s="7">
        <f t="shared" si="4"/>
        <v>24184736.709999997</v>
      </c>
      <c r="O8" s="7">
        <f t="shared" si="5"/>
        <v>0</v>
      </c>
    </row>
    <row r="9" spans="1:15" ht="15">
      <c r="A9" s="4">
        <v>6</v>
      </c>
      <c r="B9" s="5" t="s">
        <v>21</v>
      </c>
      <c r="C9" s="6">
        <v>29148385.77</v>
      </c>
      <c r="D9" s="7">
        <f>3652568.18+25495817.59</f>
        <v>29148385.77</v>
      </c>
      <c r="E9" s="7">
        <f t="shared" si="0"/>
        <v>0</v>
      </c>
      <c r="F9" s="7">
        <v>29148385.77</v>
      </c>
      <c r="G9" s="7">
        <f t="shared" si="1"/>
        <v>0</v>
      </c>
      <c r="H9" s="6">
        <v>12424122.46</v>
      </c>
      <c r="I9" s="7">
        <f>3305273.14+9118849.32</f>
        <v>12424122.46</v>
      </c>
      <c r="J9" s="6">
        <f t="shared" si="2"/>
        <v>0</v>
      </c>
      <c r="K9" s="7">
        <v>12424122.46</v>
      </c>
      <c r="L9" s="6">
        <f t="shared" si="3"/>
        <v>0</v>
      </c>
      <c r="M9" s="6">
        <f t="shared" si="4"/>
        <v>41572508.230000004</v>
      </c>
      <c r="N9" s="7">
        <f t="shared" si="4"/>
        <v>41572508.230000004</v>
      </c>
      <c r="O9" s="7">
        <f t="shared" si="5"/>
        <v>0</v>
      </c>
    </row>
    <row r="10" spans="1:15" ht="15">
      <c r="A10" s="4">
        <v>7</v>
      </c>
      <c r="B10" s="5" t="s">
        <v>22</v>
      </c>
      <c r="C10" s="6">
        <v>24702939.58</v>
      </c>
      <c r="D10" s="7">
        <f>3299517.03+21403422.55</f>
        <v>24702939.580000002</v>
      </c>
      <c r="E10" s="7">
        <f t="shared" si="0"/>
        <v>0</v>
      </c>
      <c r="F10" s="7">
        <v>24702939.58</v>
      </c>
      <c r="G10" s="7">
        <f t="shared" si="1"/>
        <v>0</v>
      </c>
      <c r="H10" s="6">
        <v>6041574.67</v>
      </c>
      <c r="I10" s="7">
        <f>956960.68+5084613.99</f>
        <v>6041574.67</v>
      </c>
      <c r="J10" s="6">
        <f t="shared" si="2"/>
        <v>0</v>
      </c>
      <c r="K10" s="7">
        <v>6041574.67</v>
      </c>
      <c r="L10" s="6">
        <f t="shared" si="3"/>
        <v>0</v>
      </c>
      <c r="M10" s="6">
        <f t="shared" si="4"/>
        <v>30744514.25</v>
      </c>
      <c r="N10" s="7">
        <f t="shared" si="4"/>
        <v>30744514.25</v>
      </c>
      <c r="O10" s="8">
        <f t="shared" si="5"/>
        <v>0</v>
      </c>
    </row>
    <row r="11" spans="1:15" ht="15">
      <c r="A11" s="4">
        <v>8</v>
      </c>
      <c r="B11" s="5" t="s">
        <v>23</v>
      </c>
      <c r="C11" s="6">
        <v>26041219.55</v>
      </c>
      <c r="D11" s="7">
        <f>4417140.19+20766685.44</f>
        <v>25183825.630000003</v>
      </c>
      <c r="E11" s="7">
        <f t="shared" si="0"/>
        <v>857393.9199999981</v>
      </c>
      <c r="F11" s="7">
        <v>25183825.63</v>
      </c>
      <c r="G11" s="7">
        <f t="shared" si="1"/>
        <v>0</v>
      </c>
      <c r="H11" s="6">
        <v>9465170.17</v>
      </c>
      <c r="I11" s="7">
        <f>1580603.02+7884567.15</f>
        <v>9465170.17</v>
      </c>
      <c r="J11" s="6">
        <f t="shared" si="2"/>
        <v>0</v>
      </c>
      <c r="K11" s="7">
        <v>9465170.17</v>
      </c>
      <c r="L11" s="6">
        <f t="shared" si="3"/>
        <v>0</v>
      </c>
      <c r="M11" s="6">
        <f t="shared" si="4"/>
        <v>35506389.72</v>
      </c>
      <c r="N11" s="7">
        <f t="shared" si="4"/>
        <v>34648995.800000004</v>
      </c>
      <c r="O11" s="8">
        <f t="shared" si="5"/>
        <v>857393.9199999943</v>
      </c>
    </row>
    <row r="12" spans="1:15" ht="15">
      <c r="A12" s="4">
        <v>9</v>
      </c>
      <c r="B12" s="5" t="s">
        <v>24</v>
      </c>
      <c r="C12" s="6">
        <v>47530314.69</v>
      </c>
      <c r="D12" s="7">
        <f>8198374.38+39331940.31</f>
        <v>47530314.690000005</v>
      </c>
      <c r="E12" s="7">
        <f t="shared" si="0"/>
        <v>0</v>
      </c>
      <c r="F12" s="7">
        <v>47530314.69</v>
      </c>
      <c r="G12" s="7">
        <f t="shared" si="1"/>
        <v>0</v>
      </c>
      <c r="H12" s="6">
        <v>22258874.02</v>
      </c>
      <c r="I12" s="7">
        <f>4361604.37+17897335.15</f>
        <v>22258939.52</v>
      </c>
      <c r="J12" s="6">
        <f t="shared" si="2"/>
        <v>-65.5</v>
      </c>
      <c r="K12" s="7">
        <v>22258874.02</v>
      </c>
      <c r="L12" s="6">
        <f t="shared" si="3"/>
        <v>65.5</v>
      </c>
      <c r="M12" s="6">
        <f t="shared" si="4"/>
        <v>69789188.71</v>
      </c>
      <c r="N12" s="7">
        <f t="shared" si="4"/>
        <v>69789254.21000001</v>
      </c>
      <c r="O12" s="8">
        <f t="shared" si="5"/>
        <v>-65.50000001490116</v>
      </c>
    </row>
    <row r="13" spans="1:15" ht="15">
      <c r="A13" s="4">
        <v>10</v>
      </c>
      <c r="B13" s="5" t="s">
        <v>25</v>
      </c>
      <c r="C13" s="6">
        <v>24151352.4</v>
      </c>
      <c r="D13" s="7">
        <f>2852594.43+21298757.97</f>
        <v>24151352.4</v>
      </c>
      <c r="E13" s="7">
        <f t="shared" si="0"/>
        <v>0</v>
      </c>
      <c r="F13" s="7">
        <v>24151352.4</v>
      </c>
      <c r="G13" s="7">
        <f t="shared" si="1"/>
        <v>0</v>
      </c>
      <c r="H13" s="6">
        <v>7483089.78</v>
      </c>
      <c r="I13" s="7">
        <f>1119337.25+6363752.53</f>
        <v>7483089.78</v>
      </c>
      <c r="J13" s="6">
        <f t="shared" si="2"/>
        <v>0</v>
      </c>
      <c r="K13" s="7">
        <v>7483089.78</v>
      </c>
      <c r="L13" s="6">
        <f t="shared" si="3"/>
        <v>0</v>
      </c>
      <c r="M13" s="6">
        <f t="shared" si="4"/>
        <v>31634442.18</v>
      </c>
      <c r="N13" s="7">
        <f t="shared" si="4"/>
        <v>31634442.18</v>
      </c>
      <c r="O13" s="7">
        <f t="shared" si="5"/>
        <v>0</v>
      </c>
    </row>
    <row r="14" spans="1:15" ht="15">
      <c r="A14" s="4">
        <v>11</v>
      </c>
      <c r="B14" s="5" t="s">
        <v>26</v>
      </c>
      <c r="C14" s="6">
        <v>16714066.43</v>
      </c>
      <c r="D14" s="7">
        <v>16714066.43</v>
      </c>
      <c r="E14" s="7">
        <f t="shared" si="0"/>
        <v>0</v>
      </c>
      <c r="F14" s="7">
        <v>16714066.43</v>
      </c>
      <c r="G14" s="7">
        <f t="shared" si="1"/>
        <v>0</v>
      </c>
      <c r="H14" s="6">
        <v>131970.55</v>
      </c>
      <c r="I14" s="7">
        <v>131970.55</v>
      </c>
      <c r="J14" s="6">
        <f t="shared" si="2"/>
        <v>0</v>
      </c>
      <c r="K14" s="7">
        <v>131970.55</v>
      </c>
      <c r="L14" s="6">
        <f t="shared" si="3"/>
        <v>0</v>
      </c>
      <c r="M14" s="6">
        <f t="shared" si="4"/>
        <v>16846036.98</v>
      </c>
      <c r="N14" s="7">
        <f t="shared" si="4"/>
        <v>16846036.98</v>
      </c>
      <c r="O14" s="7">
        <f t="shared" si="5"/>
        <v>0</v>
      </c>
    </row>
    <row r="15" spans="1:15" ht="15">
      <c r="A15" s="4">
        <v>12</v>
      </c>
      <c r="B15" s="5" t="s">
        <v>27</v>
      </c>
      <c r="C15" s="6">
        <v>13977305.95</v>
      </c>
      <c r="D15" s="7">
        <v>13977305.95</v>
      </c>
      <c r="E15" s="7">
        <f t="shared" si="0"/>
        <v>0</v>
      </c>
      <c r="F15" s="7">
        <v>13977305.95</v>
      </c>
      <c r="G15" s="7">
        <f t="shared" si="1"/>
        <v>0</v>
      </c>
      <c r="H15" s="6">
        <v>12335296</v>
      </c>
      <c r="I15" s="7">
        <v>12335296</v>
      </c>
      <c r="J15" s="6">
        <f t="shared" si="2"/>
        <v>0</v>
      </c>
      <c r="K15" s="7">
        <v>4821148</v>
      </c>
      <c r="L15" s="6">
        <f t="shared" si="3"/>
        <v>7514148</v>
      </c>
      <c r="M15" s="6">
        <f t="shared" si="4"/>
        <v>26312601.95</v>
      </c>
      <c r="N15" s="7">
        <f t="shared" si="4"/>
        <v>26312601.95</v>
      </c>
      <c r="O15" s="7">
        <f t="shared" si="5"/>
        <v>0</v>
      </c>
    </row>
    <row r="16" spans="1:15" ht="15">
      <c r="A16" s="4">
        <v>13</v>
      </c>
      <c r="B16" s="5" t="s">
        <v>28</v>
      </c>
      <c r="C16" s="6">
        <v>2869787.71</v>
      </c>
      <c r="D16" s="7">
        <v>2869787.71</v>
      </c>
      <c r="E16" s="7">
        <f t="shared" si="0"/>
        <v>0</v>
      </c>
      <c r="F16" s="7">
        <v>2869787.71</v>
      </c>
      <c r="G16" s="7">
        <f t="shared" si="1"/>
        <v>0</v>
      </c>
      <c r="H16" s="6">
        <v>69174</v>
      </c>
      <c r="I16" s="7">
        <v>69174</v>
      </c>
      <c r="J16" s="6">
        <f t="shared" si="2"/>
        <v>0</v>
      </c>
      <c r="K16" s="7">
        <v>69174</v>
      </c>
      <c r="L16" s="6">
        <f t="shared" si="3"/>
        <v>0</v>
      </c>
      <c r="M16" s="6">
        <f t="shared" si="4"/>
        <v>2938961.71</v>
      </c>
      <c r="N16" s="7">
        <f t="shared" si="4"/>
        <v>2938961.71</v>
      </c>
      <c r="O16" s="7">
        <f t="shared" si="5"/>
        <v>0</v>
      </c>
    </row>
    <row r="17" spans="1:15" ht="25.5">
      <c r="A17" s="4">
        <v>14</v>
      </c>
      <c r="B17" s="5" t="s">
        <v>29</v>
      </c>
      <c r="C17" s="6">
        <v>1682771.07</v>
      </c>
      <c r="D17" s="7">
        <v>1682771.07</v>
      </c>
      <c r="E17" s="7">
        <f t="shared" si="0"/>
        <v>0</v>
      </c>
      <c r="F17" s="7">
        <v>1682771.07</v>
      </c>
      <c r="G17" s="7">
        <f t="shared" si="1"/>
        <v>0</v>
      </c>
      <c r="H17" s="6">
        <v>1054216.6</v>
      </c>
      <c r="I17" s="7">
        <v>1054216.6</v>
      </c>
      <c r="J17" s="6">
        <f t="shared" si="2"/>
        <v>0</v>
      </c>
      <c r="K17" s="7">
        <v>1054216.6</v>
      </c>
      <c r="L17" s="6">
        <f t="shared" si="3"/>
        <v>0</v>
      </c>
      <c r="M17" s="6">
        <f t="shared" si="4"/>
        <v>2736987.67</v>
      </c>
      <c r="N17" s="7">
        <f t="shared" si="4"/>
        <v>2736987.67</v>
      </c>
      <c r="O17" s="7">
        <f t="shared" si="5"/>
        <v>0</v>
      </c>
    </row>
    <row r="18" spans="1:15" ht="15">
      <c r="A18" s="4">
        <v>15</v>
      </c>
      <c r="B18" s="5" t="s">
        <v>30</v>
      </c>
      <c r="C18" s="6">
        <v>8781727.94</v>
      </c>
      <c r="D18" s="7">
        <v>8781727.94</v>
      </c>
      <c r="E18" s="7">
        <f t="shared" si="0"/>
        <v>0</v>
      </c>
      <c r="F18" s="7">
        <v>8781727.94</v>
      </c>
      <c r="G18" s="7">
        <f t="shared" si="1"/>
        <v>0</v>
      </c>
      <c r="H18" s="6">
        <v>1566290.68</v>
      </c>
      <c r="I18" s="7">
        <v>1566290.68</v>
      </c>
      <c r="J18" s="6">
        <f t="shared" si="2"/>
        <v>0</v>
      </c>
      <c r="K18" s="7">
        <v>1566290.68</v>
      </c>
      <c r="L18" s="6">
        <f t="shared" si="3"/>
        <v>0</v>
      </c>
      <c r="M18" s="6">
        <f t="shared" si="4"/>
        <v>10348018.62</v>
      </c>
      <c r="N18" s="7">
        <f t="shared" si="4"/>
        <v>10348018.62</v>
      </c>
      <c r="O18" s="7">
        <f t="shared" si="5"/>
        <v>0</v>
      </c>
    </row>
    <row r="19" spans="1:15" ht="15">
      <c r="A19" s="4">
        <v>16</v>
      </c>
      <c r="B19" s="5" t="s">
        <v>31</v>
      </c>
      <c r="C19" s="6">
        <v>3133878.49</v>
      </c>
      <c r="D19" s="7">
        <v>3133878.49</v>
      </c>
      <c r="E19" s="7">
        <f t="shared" si="0"/>
        <v>0</v>
      </c>
      <c r="F19" s="7">
        <v>3133878.49</v>
      </c>
      <c r="G19" s="7">
        <f t="shared" si="1"/>
        <v>0</v>
      </c>
      <c r="H19" s="6">
        <v>125956.4</v>
      </c>
      <c r="I19" s="7">
        <v>125956.4</v>
      </c>
      <c r="J19" s="6">
        <f t="shared" si="2"/>
        <v>0</v>
      </c>
      <c r="K19" s="7">
        <v>125956.4</v>
      </c>
      <c r="L19" s="6">
        <f t="shared" si="3"/>
        <v>0</v>
      </c>
      <c r="M19" s="6">
        <f t="shared" si="4"/>
        <v>3259834.89</v>
      </c>
      <c r="N19" s="7">
        <f t="shared" si="4"/>
        <v>3259834.89</v>
      </c>
      <c r="O19" s="7">
        <f t="shared" si="5"/>
        <v>0</v>
      </c>
    </row>
    <row r="20" spans="1:15" ht="15">
      <c r="A20" s="4">
        <v>17</v>
      </c>
      <c r="B20" s="5" t="s">
        <v>32</v>
      </c>
      <c r="C20" s="6">
        <v>4616423.82</v>
      </c>
      <c r="D20" s="7">
        <v>4616423.82</v>
      </c>
      <c r="E20" s="7">
        <f t="shared" si="0"/>
        <v>0</v>
      </c>
      <c r="F20" s="7">
        <v>4616423.82</v>
      </c>
      <c r="G20" s="7">
        <f t="shared" si="1"/>
        <v>0</v>
      </c>
      <c r="H20" s="6">
        <v>3825891.2</v>
      </c>
      <c r="I20" s="7">
        <v>3825891.2</v>
      </c>
      <c r="J20" s="6">
        <f t="shared" si="2"/>
        <v>0</v>
      </c>
      <c r="K20" s="7">
        <v>3627859.2</v>
      </c>
      <c r="L20" s="6">
        <f t="shared" si="3"/>
        <v>198032</v>
      </c>
      <c r="M20" s="6">
        <f t="shared" si="4"/>
        <v>8442315.02</v>
      </c>
      <c r="N20" s="7">
        <f t="shared" si="4"/>
        <v>8442315.02</v>
      </c>
      <c r="O20" s="7">
        <f t="shared" si="5"/>
        <v>0</v>
      </c>
    </row>
    <row r="21" spans="1:15" ht="15">
      <c r="A21" s="4">
        <v>18</v>
      </c>
      <c r="B21" s="5" t="s">
        <v>33</v>
      </c>
      <c r="C21" s="6">
        <v>15233496.46</v>
      </c>
      <c r="D21" s="7">
        <v>15233496.46</v>
      </c>
      <c r="E21" s="7">
        <f t="shared" si="0"/>
        <v>0</v>
      </c>
      <c r="F21" s="7">
        <v>15233496.46</v>
      </c>
      <c r="G21" s="7">
        <f t="shared" si="1"/>
        <v>0</v>
      </c>
      <c r="H21" s="6">
        <v>250000</v>
      </c>
      <c r="I21" s="7">
        <v>250000</v>
      </c>
      <c r="J21" s="6">
        <f t="shared" si="2"/>
        <v>0</v>
      </c>
      <c r="K21" s="7">
        <v>250000</v>
      </c>
      <c r="L21" s="6">
        <f t="shared" si="3"/>
        <v>0</v>
      </c>
      <c r="M21" s="6">
        <f t="shared" si="4"/>
        <v>15483496.46</v>
      </c>
      <c r="N21" s="7">
        <f t="shared" si="4"/>
        <v>15483496.46</v>
      </c>
      <c r="O21" s="7">
        <f t="shared" si="5"/>
        <v>0</v>
      </c>
    </row>
    <row r="22" spans="1:15" ht="15">
      <c r="A22" s="4">
        <v>19</v>
      </c>
      <c r="B22" s="9" t="s">
        <v>34</v>
      </c>
      <c r="C22" s="6">
        <v>10591609.85</v>
      </c>
      <c r="D22" s="7">
        <f>10591609.85</f>
        <v>10591609.85</v>
      </c>
      <c r="E22" s="7">
        <f t="shared" si="0"/>
        <v>0</v>
      </c>
      <c r="F22" s="7">
        <v>10591609.85</v>
      </c>
      <c r="G22" s="7">
        <f t="shared" si="1"/>
        <v>0</v>
      </c>
      <c r="H22" s="6">
        <v>6721029.24</v>
      </c>
      <c r="I22" s="7">
        <f>1908607.38+4812421.86</f>
        <v>6721029.24</v>
      </c>
      <c r="J22" s="6">
        <f t="shared" si="2"/>
        <v>0</v>
      </c>
      <c r="K22" s="7">
        <v>6721029.24</v>
      </c>
      <c r="L22" s="6">
        <f t="shared" si="3"/>
        <v>0</v>
      </c>
      <c r="M22" s="6">
        <f t="shared" si="4"/>
        <v>17312639.09</v>
      </c>
      <c r="N22" s="7">
        <f t="shared" si="4"/>
        <v>17312639.09</v>
      </c>
      <c r="O22" s="7">
        <f t="shared" si="5"/>
        <v>0</v>
      </c>
    </row>
    <row r="23" spans="1:15" ht="15">
      <c r="A23" s="10"/>
      <c r="B23" s="10" t="s">
        <v>35</v>
      </c>
      <c r="C23" s="10">
        <f>SUM(C4:C22)</f>
        <v>395992896.39</v>
      </c>
      <c r="D23" s="10">
        <f>SUM(D4:D22)</f>
        <v>395135502.46999997</v>
      </c>
      <c r="E23" s="11">
        <f t="shared" si="0"/>
        <v>857393.9200000167</v>
      </c>
      <c r="F23" s="10">
        <f>SUM(F4:F22)</f>
        <v>395135502.46999997</v>
      </c>
      <c r="G23" s="11">
        <f t="shared" si="1"/>
        <v>0</v>
      </c>
      <c r="H23" s="10">
        <f aca="true" t="shared" si="6" ref="H23:O23">SUM(H4:H22)</f>
        <v>100893078.81</v>
      </c>
      <c r="I23" s="10">
        <f t="shared" si="6"/>
        <v>100893144.31</v>
      </c>
      <c r="J23" s="12">
        <f t="shared" si="2"/>
        <v>-65.5</v>
      </c>
      <c r="K23" s="10">
        <f>SUM(K4:K22)</f>
        <v>93134864.59</v>
      </c>
      <c r="L23" s="12">
        <f t="shared" si="3"/>
        <v>7758279.719999999</v>
      </c>
      <c r="M23" s="10">
        <f t="shared" si="6"/>
        <v>496885975.19999987</v>
      </c>
      <c r="N23" s="11">
        <f>D23+I23</f>
        <v>496028646.78</v>
      </c>
      <c r="O23" s="10">
        <f t="shared" si="6"/>
        <v>857328.4199999794</v>
      </c>
    </row>
    <row r="24" spans="1:15" ht="15">
      <c r="A24" s="10"/>
      <c r="B24" s="10" t="s">
        <v>36</v>
      </c>
      <c r="C24" s="10">
        <v>396050396.39</v>
      </c>
      <c r="D24" s="10"/>
      <c r="E24" s="10"/>
      <c r="F24" s="10">
        <v>395135502.47</v>
      </c>
      <c r="G24" s="10"/>
      <c r="H24" s="10">
        <v>103665389.41</v>
      </c>
      <c r="I24" s="10"/>
      <c r="J24" s="10"/>
      <c r="K24" s="10">
        <v>93134864.59</v>
      </c>
      <c r="L24" s="10"/>
      <c r="M24" s="10">
        <f>C24+H24</f>
        <v>499715785.79999995</v>
      </c>
      <c r="N24" s="10"/>
      <c r="O24" s="10">
        <v>914893.92</v>
      </c>
    </row>
    <row r="25" spans="1:15" ht="15">
      <c r="A25" s="10"/>
      <c r="B25" s="10" t="s">
        <v>37</v>
      </c>
      <c r="C25" s="10">
        <f>C23-C24</f>
        <v>-57500</v>
      </c>
      <c r="D25" s="10"/>
      <c r="E25" s="10"/>
      <c r="F25" s="10">
        <f>F23-F24</f>
        <v>0</v>
      </c>
      <c r="G25" s="10"/>
      <c r="H25" s="10">
        <f>H23-H24</f>
        <v>-2772310.599999994</v>
      </c>
      <c r="I25" s="10"/>
      <c r="J25" s="10"/>
      <c r="K25" s="10">
        <f>K23-K24</f>
        <v>0</v>
      </c>
      <c r="L25" s="10"/>
      <c r="M25" s="10">
        <f>M23-M24</f>
        <v>-2829810.6000000834</v>
      </c>
      <c r="N25" s="10"/>
      <c r="O25" s="10">
        <f>O23-O24</f>
        <v>-57565.500000020606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6.8515625" style="0" customWidth="1"/>
    <col min="2" max="2" width="15.8515625" style="0" customWidth="1"/>
    <col min="3" max="3" width="10.140625" style="0" bestFit="1" customWidth="1"/>
    <col min="4" max="4" width="14.28125" style="0" customWidth="1"/>
    <col min="5" max="5" width="14.421875" style="0" customWidth="1"/>
    <col min="6" max="6" width="15.28125" style="0" customWidth="1"/>
    <col min="7" max="7" width="12.28125" style="0" customWidth="1"/>
    <col min="8" max="8" width="14.57421875" style="0" customWidth="1"/>
    <col min="9" max="9" width="13.421875" style="0" customWidth="1"/>
    <col min="10" max="10" width="14.421875" style="0" customWidth="1"/>
    <col min="11" max="11" width="14.7109375" style="0" customWidth="1"/>
  </cols>
  <sheetData>
    <row r="1" spans="1:11" ht="31.5" customHeight="1" thickBot="1">
      <c r="A1" s="36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38" t="s">
        <v>0</v>
      </c>
      <c r="B2" s="40" t="s">
        <v>38</v>
      </c>
      <c r="C2" s="42" t="s">
        <v>39</v>
      </c>
      <c r="D2" s="43"/>
      <c r="E2" s="43"/>
      <c r="F2" s="44"/>
      <c r="G2" s="42" t="s">
        <v>40</v>
      </c>
      <c r="H2" s="43"/>
      <c r="I2" s="43"/>
      <c r="J2" s="44"/>
      <c r="K2" s="45" t="s">
        <v>37</v>
      </c>
    </row>
    <row r="3" spans="1:11" ht="15">
      <c r="A3" s="39"/>
      <c r="B3" s="41"/>
      <c r="C3" s="13" t="s">
        <v>41</v>
      </c>
      <c r="D3" s="14" t="s">
        <v>42</v>
      </c>
      <c r="E3" s="14" t="s">
        <v>43</v>
      </c>
      <c r="F3" s="15" t="s">
        <v>35</v>
      </c>
      <c r="G3" s="13" t="s">
        <v>41</v>
      </c>
      <c r="H3" s="14" t="s">
        <v>42</v>
      </c>
      <c r="I3" s="14" t="s">
        <v>43</v>
      </c>
      <c r="J3" s="15" t="s">
        <v>35</v>
      </c>
      <c r="K3" s="46"/>
    </row>
    <row r="4" spans="1:11" ht="15">
      <c r="A4" s="16">
        <v>1</v>
      </c>
      <c r="B4" s="17">
        <v>803500</v>
      </c>
      <c r="C4" s="18">
        <v>44207</v>
      </c>
      <c r="D4" s="19">
        <v>803500</v>
      </c>
      <c r="E4" s="19"/>
      <c r="F4" s="20">
        <f>D4+E4</f>
        <v>803500</v>
      </c>
      <c r="G4" s="21" t="s">
        <v>44</v>
      </c>
      <c r="H4" s="19">
        <v>853500</v>
      </c>
      <c r="I4" s="19"/>
      <c r="J4" s="20">
        <f>H4+I4</f>
        <v>853500</v>
      </c>
      <c r="K4" s="22">
        <f>F4-J4</f>
        <v>-50000</v>
      </c>
    </row>
    <row r="5" spans="1:11" ht="15">
      <c r="A5" s="16">
        <v>2</v>
      </c>
      <c r="B5" s="17">
        <v>15154229.88</v>
      </c>
      <c r="C5" s="18">
        <v>44231</v>
      </c>
      <c r="D5" s="19">
        <v>10495869.88</v>
      </c>
      <c r="E5" s="19">
        <v>4658360</v>
      </c>
      <c r="F5" s="20">
        <f aca="true" t="shared" si="0" ref="F5:F17">D5+E5</f>
        <v>15154229.88</v>
      </c>
      <c r="G5" s="21" t="s">
        <v>45</v>
      </c>
      <c r="H5" s="19">
        <v>18740144.26</v>
      </c>
      <c r="I5" s="19">
        <v>4558360</v>
      </c>
      <c r="J5" s="20">
        <f aca="true" t="shared" si="1" ref="J5:J17">H5+I5</f>
        <v>23298504.26</v>
      </c>
      <c r="K5" s="22">
        <f>F5-J5</f>
        <v>-8144274.380000001</v>
      </c>
    </row>
    <row r="6" spans="1:11" ht="15">
      <c r="A6" s="16">
        <v>3</v>
      </c>
      <c r="B6" s="17">
        <v>15154229.88</v>
      </c>
      <c r="C6" s="18">
        <v>44243</v>
      </c>
      <c r="D6" s="19">
        <v>10495869.88</v>
      </c>
      <c r="E6" s="19">
        <v>387500</v>
      </c>
      <c r="F6" s="20">
        <f t="shared" si="0"/>
        <v>10883369.88</v>
      </c>
      <c r="G6" s="21" t="s">
        <v>46</v>
      </c>
      <c r="H6" s="19">
        <v>10639380.54</v>
      </c>
      <c r="I6" s="19">
        <v>4658360</v>
      </c>
      <c r="J6" s="20">
        <f t="shared" si="1"/>
        <v>15297740.54</v>
      </c>
      <c r="K6" s="22">
        <f>F6-J6</f>
        <v>-4414370.659999998</v>
      </c>
    </row>
    <row r="7" spans="1:11" ht="15">
      <c r="A7" s="16">
        <v>4</v>
      </c>
      <c r="B7" s="17">
        <v>15312229.88</v>
      </c>
      <c r="C7" s="18">
        <v>44274</v>
      </c>
      <c r="D7" s="19">
        <v>10495869.88</v>
      </c>
      <c r="E7" s="19">
        <v>4816360</v>
      </c>
      <c r="F7" s="20">
        <f t="shared" si="0"/>
        <v>15312229.88</v>
      </c>
      <c r="G7" s="21" t="s">
        <v>47</v>
      </c>
      <c r="H7" s="19">
        <v>10639380.54</v>
      </c>
      <c r="I7" s="19">
        <v>9087220</v>
      </c>
      <c r="J7" s="20">
        <f t="shared" si="1"/>
        <v>19726600.54</v>
      </c>
      <c r="K7" s="22">
        <f>F7-J7</f>
        <v>-4414370.659999998</v>
      </c>
    </row>
    <row r="8" spans="1:11" ht="15">
      <c r="A8" s="16">
        <v>5</v>
      </c>
      <c r="B8" s="17">
        <v>15183257.61</v>
      </c>
      <c r="C8" s="18">
        <v>44298</v>
      </c>
      <c r="D8" s="19">
        <v>10495869.88</v>
      </c>
      <c r="E8" s="19">
        <f>1219553.97+3303145</f>
        <v>4522698.97</v>
      </c>
      <c r="F8" s="20">
        <f t="shared" si="0"/>
        <v>15018568.850000001</v>
      </c>
      <c r="G8" s="21" t="s">
        <v>48</v>
      </c>
      <c r="H8" s="19">
        <v>10495869.88</v>
      </c>
      <c r="I8" s="19">
        <v>4522698.97</v>
      </c>
      <c r="J8" s="20">
        <f t="shared" si="1"/>
        <v>15018568.850000001</v>
      </c>
      <c r="K8" s="22">
        <f>F8-J8</f>
        <v>0</v>
      </c>
    </row>
    <row r="9" spans="1:11" ht="15">
      <c r="A9" s="16">
        <v>6</v>
      </c>
      <c r="B9" s="17">
        <v>15593983.85</v>
      </c>
      <c r="C9" s="18">
        <v>44307</v>
      </c>
      <c r="D9" s="19">
        <v>10495869.88</v>
      </c>
      <c r="E9" s="19">
        <f>1411928.97+3686185</f>
        <v>5098113.97</v>
      </c>
      <c r="F9" s="20">
        <f t="shared" si="0"/>
        <v>15593983.850000001</v>
      </c>
      <c r="G9" s="21"/>
      <c r="H9" s="19"/>
      <c r="I9" s="19"/>
      <c r="J9" s="20">
        <f t="shared" si="1"/>
        <v>0</v>
      </c>
      <c r="K9" s="22">
        <f>F9-J8</f>
        <v>575415</v>
      </c>
    </row>
    <row r="10" spans="1:11" ht="15">
      <c r="A10" s="16">
        <v>7</v>
      </c>
      <c r="B10" s="17">
        <v>15593983.85</v>
      </c>
      <c r="C10" s="18">
        <v>44312</v>
      </c>
      <c r="D10" s="19">
        <v>10495869.88</v>
      </c>
      <c r="E10" s="19">
        <f>1411928.97+3686185</f>
        <v>5098113.97</v>
      </c>
      <c r="F10" s="20">
        <f t="shared" si="0"/>
        <v>15593983.850000001</v>
      </c>
      <c r="G10" s="21"/>
      <c r="H10" s="19"/>
      <c r="I10" s="19"/>
      <c r="J10" s="20">
        <f t="shared" si="1"/>
        <v>0</v>
      </c>
      <c r="K10" s="22">
        <f>F10-J8</f>
        <v>575415</v>
      </c>
    </row>
    <row r="11" spans="1:11" ht="15">
      <c r="A11" s="16">
        <v>8</v>
      </c>
      <c r="B11" s="17">
        <v>16098939.26</v>
      </c>
      <c r="C11" s="18">
        <v>44328</v>
      </c>
      <c r="D11" s="19">
        <v>10495869.88</v>
      </c>
      <c r="E11" s="19">
        <f>1411928.97+3686185</f>
        <v>5098113.97</v>
      </c>
      <c r="F11" s="20">
        <f t="shared" si="0"/>
        <v>15593983.850000001</v>
      </c>
      <c r="G11" s="21"/>
      <c r="H11" s="19"/>
      <c r="I11" s="19"/>
      <c r="J11" s="20">
        <f t="shared" si="1"/>
        <v>0</v>
      </c>
      <c r="K11" s="22">
        <f>F11-J8</f>
        <v>575415</v>
      </c>
    </row>
    <row r="12" spans="1:11" ht="15">
      <c r="A12" s="16">
        <v>9</v>
      </c>
      <c r="B12" s="17">
        <v>16090662.26</v>
      </c>
      <c r="C12" s="18">
        <v>44377</v>
      </c>
      <c r="D12" s="19">
        <v>10495869.88</v>
      </c>
      <c r="E12" s="19">
        <f>1908607.38+3686185</f>
        <v>5594792.38</v>
      </c>
      <c r="F12" s="20">
        <f t="shared" si="0"/>
        <v>16090662.260000002</v>
      </c>
      <c r="G12" s="21" t="s">
        <v>49</v>
      </c>
      <c r="H12" s="19">
        <v>10495869.88</v>
      </c>
      <c r="I12" s="19">
        <v>5594792.38</v>
      </c>
      <c r="J12" s="20">
        <f t="shared" si="1"/>
        <v>16090662.260000002</v>
      </c>
      <c r="K12" s="22">
        <f>F12-J12</f>
        <v>0</v>
      </c>
    </row>
    <row r="13" spans="1:11" ht="15">
      <c r="A13" s="16">
        <v>10</v>
      </c>
      <c r="B13" s="17">
        <v>15703745.42</v>
      </c>
      <c r="C13" s="18">
        <v>44392</v>
      </c>
      <c r="D13" s="19">
        <v>10495869.88</v>
      </c>
      <c r="E13" s="19">
        <f>1908607.38+3299268.16</f>
        <v>5207875.54</v>
      </c>
      <c r="F13" s="20">
        <f t="shared" si="0"/>
        <v>15703745.420000002</v>
      </c>
      <c r="G13" s="21" t="s">
        <v>50</v>
      </c>
      <c r="H13" s="19">
        <v>10495869.88</v>
      </c>
      <c r="I13" s="19">
        <v>5594792.38</v>
      </c>
      <c r="J13" s="20">
        <f t="shared" si="1"/>
        <v>16090662.260000002</v>
      </c>
      <c r="K13" s="22">
        <f>F13-J13</f>
        <v>-386916.83999999985</v>
      </c>
    </row>
    <row r="14" spans="1:11" ht="15">
      <c r="A14" s="16">
        <v>11</v>
      </c>
      <c r="B14" s="17">
        <v>15209679.12</v>
      </c>
      <c r="C14" s="18">
        <v>44407</v>
      </c>
      <c r="D14" s="19">
        <v>10495869.88</v>
      </c>
      <c r="E14" s="19">
        <f>1908607.38+2805201.86</f>
        <v>4713809.24</v>
      </c>
      <c r="F14" s="20">
        <f t="shared" si="0"/>
        <v>15209679.120000001</v>
      </c>
      <c r="G14" s="21" t="s">
        <v>51</v>
      </c>
      <c r="H14" s="19">
        <v>10495869.88</v>
      </c>
      <c r="I14" s="19">
        <v>5100726.08</v>
      </c>
      <c r="J14" s="20">
        <f t="shared" si="1"/>
        <v>15596595.96</v>
      </c>
      <c r="K14" s="22">
        <f>F14-J14</f>
        <v>-386916.83999999985</v>
      </c>
    </row>
    <row r="15" spans="1:11" ht="15">
      <c r="A15" s="16">
        <v>12</v>
      </c>
      <c r="B15" s="17">
        <v>16597106.52</v>
      </c>
      <c r="C15" s="18">
        <v>44426</v>
      </c>
      <c r="D15" s="19">
        <v>10495869.88</v>
      </c>
      <c r="E15" s="19">
        <f>1908607.38+4192629.26</f>
        <v>6101236.64</v>
      </c>
      <c r="F15" s="20">
        <f t="shared" si="0"/>
        <v>16597106.52</v>
      </c>
      <c r="G15" s="21"/>
      <c r="H15" s="19"/>
      <c r="I15" s="19"/>
      <c r="J15" s="20">
        <f t="shared" si="1"/>
        <v>0</v>
      </c>
      <c r="K15" s="22">
        <f>F15-J14</f>
        <v>1000510.5599999987</v>
      </c>
    </row>
    <row r="16" spans="1:11" ht="15">
      <c r="A16" s="16">
        <v>13</v>
      </c>
      <c r="B16" s="17">
        <v>17216899.12</v>
      </c>
      <c r="C16" s="18">
        <v>44466</v>
      </c>
      <c r="D16" s="19">
        <v>10495869.88</v>
      </c>
      <c r="E16" s="19">
        <f>1908607.38+4812421.86</f>
        <v>6721029.24</v>
      </c>
      <c r="F16" s="20">
        <f t="shared" si="0"/>
        <v>17216899.12</v>
      </c>
      <c r="G16" s="21" t="s">
        <v>52</v>
      </c>
      <c r="H16" s="19">
        <v>10495869.88</v>
      </c>
      <c r="I16" s="19">
        <v>7107946.08</v>
      </c>
      <c r="J16" s="20">
        <f t="shared" si="1"/>
        <v>17603815.96</v>
      </c>
      <c r="K16" s="22">
        <f>F16-J16</f>
        <v>-386916.83999999985</v>
      </c>
    </row>
    <row r="17" spans="1:11" ht="27" thickBot="1">
      <c r="A17" s="16">
        <v>14</v>
      </c>
      <c r="B17" s="17">
        <v>17312639.09</v>
      </c>
      <c r="C17" s="23">
        <v>44552</v>
      </c>
      <c r="D17" s="24">
        <v>10591609.85</v>
      </c>
      <c r="E17" s="24">
        <f>1908607.38+4812421.86</f>
        <v>6721029.24</v>
      </c>
      <c r="F17" s="25">
        <f t="shared" si="0"/>
        <v>17312639.09</v>
      </c>
      <c r="G17" s="26" t="s">
        <v>53</v>
      </c>
      <c r="H17" s="24">
        <v>10495869.88</v>
      </c>
      <c r="I17" s="24">
        <v>7107946.08</v>
      </c>
      <c r="J17" s="25">
        <f t="shared" si="1"/>
        <v>17603815.96</v>
      </c>
      <c r="K17" s="27">
        <f>F17-J17</f>
        <v>-291176.87000000104</v>
      </c>
    </row>
    <row r="22" ht="15">
      <c r="E22" s="28"/>
    </row>
  </sheetData>
  <sheetProtection/>
  <mergeCells count="6">
    <mergeCell ref="A1:K1"/>
    <mergeCell ref="A2:A3"/>
    <mergeCell ref="B2:B3"/>
    <mergeCell ref="C2:F2"/>
    <mergeCell ref="G2:J2"/>
    <mergeCell ref="K2:K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6.140625" style="0" customWidth="1"/>
    <col min="2" max="2" width="24.57421875" style="0" customWidth="1"/>
    <col min="3" max="4" width="20.7109375" style="0" customWidth="1"/>
    <col min="5" max="5" width="18.28125" style="0" customWidth="1"/>
    <col min="6" max="6" width="18.421875" style="0" customWidth="1"/>
  </cols>
  <sheetData>
    <row r="1" spans="1:6" ht="30" customHeight="1">
      <c r="A1" s="34" t="s">
        <v>81</v>
      </c>
      <c r="B1" s="35"/>
      <c r="C1" s="35"/>
      <c r="D1" s="35"/>
      <c r="E1" s="35"/>
      <c r="F1" s="35"/>
    </row>
    <row r="2" spans="1:14" ht="60">
      <c r="A2" s="4" t="s">
        <v>54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29"/>
      <c r="H2" s="29"/>
      <c r="I2" s="29"/>
      <c r="J2" s="29"/>
      <c r="K2" s="29"/>
      <c r="L2" s="29"/>
      <c r="M2" s="29"/>
      <c r="N2" s="29"/>
    </row>
    <row r="3" spans="1:14" ht="30">
      <c r="A3" s="30" t="s">
        <v>60</v>
      </c>
      <c r="B3" s="31">
        <f>6306309.18+97000</f>
        <v>6403309.18</v>
      </c>
      <c r="C3" s="31">
        <v>6679618.21</v>
      </c>
      <c r="D3" s="31">
        <f>B3-C3</f>
        <v>-276309.03000000026</v>
      </c>
      <c r="E3" s="31">
        <v>6665309.4</v>
      </c>
      <c r="F3" s="31">
        <f>B3-E3</f>
        <v>-262000.22000000067</v>
      </c>
      <c r="G3" s="29"/>
      <c r="H3" s="29"/>
      <c r="I3" s="29"/>
      <c r="J3" s="29"/>
      <c r="K3" s="29"/>
      <c r="L3" s="29"/>
      <c r="M3" s="29"/>
      <c r="N3" s="29"/>
    </row>
    <row r="4" spans="1:14" ht="45">
      <c r="A4" s="30" t="s">
        <v>61</v>
      </c>
      <c r="B4" s="31">
        <v>2087357.53</v>
      </c>
      <c r="C4" s="31">
        <v>2031879.87</v>
      </c>
      <c r="D4" s="31">
        <f aca="true" t="shared" si="0" ref="D4:D18">B4-C4</f>
        <v>55477.659999999916</v>
      </c>
      <c r="E4" s="31">
        <v>1983956.49</v>
      </c>
      <c r="F4" s="31">
        <f aca="true" t="shared" si="1" ref="F4:F13">B4-E4</f>
        <v>103401.04000000004</v>
      </c>
      <c r="G4" s="29"/>
      <c r="H4" s="29"/>
      <c r="I4" s="29"/>
      <c r="J4" s="29"/>
      <c r="K4" s="29"/>
      <c r="L4" s="29"/>
      <c r="M4" s="29"/>
      <c r="N4" s="29"/>
    </row>
    <row r="5" spans="1:14" ht="45">
      <c r="A5" s="30" t="s">
        <v>62</v>
      </c>
      <c r="B5" s="31">
        <f>65045+15000+10965+10966+1625+272489+151546+54200+13000+25000+632608.5</f>
        <v>1252444.5</v>
      </c>
      <c r="C5" s="31">
        <v>1171953.1</v>
      </c>
      <c r="D5" s="31">
        <f t="shared" si="0"/>
        <v>80491.3999999999</v>
      </c>
      <c r="E5" s="31">
        <v>1153292.28</v>
      </c>
      <c r="F5" s="31">
        <f t="shared" si="1"/>
        <v>99152.21999999997</v>
      </c>
      <c r="G5" s="29"/>
      <c r="H5" s="29"/>
      <c r="I5" s="29"/>
      <c r="J5" s="29"/>
      <c r="K5" s="29"/>
      <c r="L5" s="29"/>
      <c r="M5" s="29"/>
      <c r="N5" s="29"/>
    </row>
    <row r="6" spans="1:14" ht="45">
      <c r="A6" s="30" t="s">
        <v>63</v>
      </c>
      <c r="B6" s="31">
        <v>752292</v>
      </c>
      <c r="C6" s="31">
        <v>707692</v>
      </c>
      <c r="D6" s="31">
        <f t="shared" si="0"/>
        <v>44600</v>
      </c>
      <c r="E6" s="31">
        <v>644541.22</v>
      </c>
      <c r="F6" s="31">
        <f t="shared" si="1"/>
        <v>107750.78000000003</v>
      </c>
      <c r="G6" s="29"/>
      <c r="H6" s="29"/>
      <c r="I6" s="29"/>
      <c r="J6" s="29"/>
      <c r="K6" s="29"/>
      <c r="L6" s="29"/>
      <c r="M6" s="29"/>
      <c r="N6" s="29"/>
    </row>
    <row r="7" spans="1:14" ht="60">
      <c r="A7" s="30" t="s">
        <v>64</v>
      </c>
      <c r="B7" s="31">
        <v>71522</v>
      </c>
      <c r="C7" s="31">
        <v>71522</v>
      </c>
      <c r="D7" s="31">
        <f t="shared" si="0"/>
        <v>0</v>
      </c>
      <c r="E7" s="31">
        <v>18210.06</v>
      </c>
      <c r="F7" s="31">
        <f t="shared" si="1"/>
        <v>53311.94</v>
      </c>
      <c r="G7" s="29"/>
      <c r="H7" s="29"/>
      <c r="I7" s="29"/>
      <c r="J7" s="29"/>
      <c r="K7" s="29"/>
      <c r="L7" s="29"/>
      <c r="M7" s="29"/>
      <c r="N7" s="29"/>
    </row>
    <row r="8" spans="1:14" ht="30">
      <c r="A8" s="30" t="s">
        <v>65</v>
      </c>
      <c r="B8" s="31">
        <v>700</v>
      </c>
      <c r="C8" s="31">
        <v>700</v>
      </c>
      <c r="D8" s="31">
        <f t="shared" si="0"/>
        <v>0</v>
      </c>
      <c r="E8" s="31">
        <v>117.7</v>
      </c>
      <c r="F8" s="31">
        <f t="shared" si="1"/>
        <v>582.3</v>
      </c>
      <c r="G8" s="29"/>
      <c r="H8" s="29"/>
      <c r="I8" s="29"/>
      <c r="J8" s="29"/>
      <c r="K8" s="29"/>
      <c r="L8" s="29"/>
      <c r="M8" s="29"/>
      <c r="N8" s="29"/>
    </row>
    <row r="9" spans="1:14" ht="15">
      <c r="A9" s="32" t="s">
        <v>66</v>
      </c>
      <c r="B9" s="33">
        <f>SUM(B3:B8)</f>
        <v>10567625.209999999</v>
      </c>
      <c r="C9" s="33">
        <f>SUM(C3:C8)</f>
        <v>10663365.18</v>
      </c>
      <c r="D9" s="33">
        <f>SUM(D3:D8)</f>
        <v>-95739.97000000044</v>
      </c>
      <c r="E9" s="33">
        <f>SUM(E3:E8)</f>
        <v>10465427.15</v>
      </c>
      <c r="F9" s="33">
        <f>SUM(F3:F8)</f>
        <v>102198.05999999937</v>
      </c>
      <c r="G9" s="29"/>
      <c r="H9" s="29"/>
      <c r="I9" s="29"/>
      <c r="J9" s="29"/>
      <c r="K9" s="29"/>
      <c r="L9" s="29"/>
      <c r="M9" s="29"/>
      <c r="N9" s="29"/>
    </row>
    <row r="10" spans="1:14" ht="30">
      <c r="A10" s="30" t="s">
        <v>67</v>
      </c>
      <c r="B10" s="31">
        <v>278993.21</v>
      </c>
      <c r="C10" s="31">
        <v>278993.21</v>
      </c>
      <c r="D10" s="31">
        <f t="shared" si="0"/>
        <v>0</v>
      </c>
      <c r="E10" s="31">
        <v>241593.5</v>
      </c>
      <c r="F10" s="31">
        <f t="shared" si="1"/>
        <v>37399.71000000002</v>
      </c>
      <c r="G10" s="29"/>
      <c r="H10" s="29"/>
      <c r="I10" s="29"/>
      <c r="J10" s="29"/>
      <c r="K10" s="29"/>
      <c r="L10" s="29"/>
      <c r="M10" s="29"/>
      <c r="N10" s="29"/>
    </row>
    <row r="11" spans="1:14" ht="30">
      <c r="A11" s="30" t="s">
        <v>68</v>
      </c>
      <c r="B11" s="31"/>
      <c r="C11" s="31"/>
      <c r="D11" s="31">
        <f t="shared" si="0"/>
        <v>0</v>
      </c>
      <c r="E11" s="31"/>
      <c r="F11" s="31">
        <f t="shared" si="1"/>
        <v>0</v>
      </c>
      <c r="G11" s="29"/>
      <c r="H11" s="29"/>
      <c r="I11" s="29"/>
      <c r="J11" s="29"/>
      <c r="K11" s="29"/>
      <c r="L11" s="29"/>
      <c r="M11" s="29"/>
      <c r="N11" s="29"/>
    </row>
    <row r="12" spans="1:14" ht="30">
      <c r="A12" s="30" t="s">
        <v>69</v>
      </c>
      <c r="B12" s="31">
        <v>84477.44</v>
      </c>
      <c r="C12" s="31">
        <v>117804.23</v>
      </c>
      <c r="D12" s="31">
        <f t="shared" si="0"/>
        <v>-33326.78999999999</v>
      </c>
      <c r="E12" s="31">
        <v>73262.78</v>
      </c>
      <c r="F12" s="31">
        <f t="shared" si="1"/>
        <v>11214.660000000003</v>
      </c>
      <c r="G12" s="29"/>
      <c r="H12" s="29"/>
      <c r="I12" s="29"/>
      <c r="J12" s="29"/>
      <c r="K12" s="29"/>
      <c r="L12" s="29"/>
      <c r="M12" s="29"/>
      <c r="N12" s="29"/>
    </row>
    <row r="13" spans="1:14" ht="35.25" customHeight="1">
      <c r="A13" s="30" t="s">
        <v>70</v>
      </c>
      <c r="B13" s="31">
        <f>85000+13174+260986+64495+38326.79+8000+147616.96+7493.21</f>
        <v>625091.96</v>
      </c>
      <c r="C13" s="31">
        <v>591765.17</v>
      </c>
      <c r="D13" s="31">
        <f t="shared" si="0"/>
        <v>33326.78999999992</v>
      </c>
      <c r="E13" s="31">
        <v>342556.51</v>
      </c>
      <c r="F13" s="31">
        <f t="shared" si="1"/>
        <v>282535.44999999995</v>
      </c>
      <c r="G13" s="29"/>
      <c r="H13" s="29"/>
      <c r="I13" s="29"/>
      <c r="J13" s="29"/>
      <c r="K13" s="29"/>
      <c r="L13" s="29"/>
      <c r="M13" s="29"/>
      <c r="N13" s="29"/>
    </row>
    <row r="14" spans="1:14" ht="15">
      <c r="A14" s="32" t="s">
        <v>66</v>
      </c>
      <c r="B14" s="33">
        <f>SUM(B10:B13)</f>
        <v>988562.61</v>
      </c>
      <c r="C14" s="33">
        <f>SUM(C10:C13)</f>
        <v>988562.6100000001</v>
      </c>
      <c r="D14" s="33">
        <f t="shared" si="0"/>
        <v>0</v>
      </c>
      <c r="E14" s="33">
        <f>SUM(E10:E13)</f>
        <v>657412.79</v>
      </c>
      <c r="F14" s="33">
        <f>SUM(F10:F13)</f>
        <v>331149.81999999995</v>
      </c>
      <c r="G14" s="29"/>
      <c r="H14" s="29"/>
      <c r="I14" s="29"/>
      <c r="J14" s="29"/>
      <c r="K14" s="29"/>
      <c r="L14" s="29"/>
      <c r="M14" s="29"/>
      <c r="N14" s="29"/>
    </row>
    <row r="15" spans="1:14" ht="30">
      <c r="A15" s="30" t="s">
        <v>71</v>
      </c>
      <c r="B15" s="31">
        <v>26269.28</v>
      </c>
      <c r="C15" s="31">
        <v>26269.28</v>
      </c>
      <c r="D15" s="31">
        <f t="shared" si="0"/>
        <v>0</v>
      </c>
      <c r="E15" s="31">
        <v>26102.49</v>
      </c>
      <c r="F15" s="31">
        <f>B15-E15</f>
        <v>166.78999999999724</v>
      </c>
      <c r="G15" s="29"/>
      <c r="H15" s="29"/>
      <c r="I15" s="29"/>
      <c r="J15" s="29"/>
      <c r="K15" s="29"/>
      <c r="L15" s="29"/>
      <c r="M15" s="29"/>
      <c r="N15" s="29"/>
    </row>
    <row r="16" spans="1:14" ht="30">
      <c r="A16" s="30" t="s">
        <v>72</v>
      </c>
      <c r="B16" s="31">
        <f>100000+27000</f>
        <v>127000</v>
      </c>
      <c r="C16" s="31">
        <v>127000</v>
      </c>
      <c r="D16" s="31">
        <f t="shared" si="0"/>
        <v>0</v>
      </c>
      <c r="E16" s="31">
        <f>84137.07+22098.7</f>
        <v>106235.77</v>
      </c>
      <c r="F16" s="31">
        <f>B16-E16</f>
        <v>20764.229999999996</v>
      </c>
      <c r="G16" s="29"/>
      <c r="H16" s="29"/>
      <c r="I16" s="29"/>
      <c r="J16" s="29"/>
      <c r="K16" s="29"/>
      <c r="L16" s="29"/>
      <c r="M16" s="29"/>
      <c r="N16" s="29"/>
    </row>
    <row r="17" spans="1:14" ht="30">
      <c r="A17" s="30" t="s">
        <v>73</v>
      </c>
      <c r="B17" s="31">
        <v>7933.33</v>
      </c>
      <c r="C17" s="31">
        <v>7933.33</v>
      </c>
      <c r="D17" s="31">
        <f t="shared" si="0"/>
        <v>0</v>
      </c>
      <c r="E17" s="31">
        <v>7882.96</v>
      </c>
      <c r="F17" s="31">
        <f>B17-E17</f>
        <v>50.36999999999989</v>
      </c>
      <c r="G17" s="29"/>
      <c r="H17" s="29"/>
      <c r="I17" s="29"/>
      <c r="J17" s="29"/>
      <c r="K17" s="29"/>
      <c r="L17" s="29"/>
      <c r="M17" s="29"/>
      <c r="N17" s="29"/>
    </row>
    <row r="18" spans="1:14" ht="30">
      <c r="A18" s="30" t="s">
        <v>74</v>
      </c>
      <c r="B18" s="31">
        <f>123615+5335715.87+1184777.6+90395+64320+5320+142600</f>
        <v>6946743.470000001</v>
      </c>
      <c r="C18" s="31">
        <v>7409219.27</v>
      </c>
      <c r="D18" s="31">
        <f t="shared" si="0"/>
        <v>-462475.7999999989</v>
      </c>
      <c r="E18" s="31">
        <v>4702513.87</v>
      </c>
      <c r="F18" s="31">
        <f>B18-E18</f>
        <v>2244229.6000000006</v>
      </c>
      <c r="G18" s="29"/>
      <c r="H18" s="29"/>
      <c r="I18" s="29"/>
      <c r="J18" s="29"/>
      <c r="K18" s="29"/>
      <c r="L18" s="29"/>
      <c r="M18" s="29"/>
      <c r="N18" s="29"/>
    </row>
    <row r="19" spans="1:14" ht="15">
      <c r="A19" s="32" t="s">
        <v>75</v>
      </c>
      <c r="B19" s="33">
        <f>SUM(B15:B18)</f>
        <v>7107946.080000001</v>
      </c>
      <c r="C19" s="33">
        <f>SUM(C15:C18)</f>
        <v>7570421.88</v>
      </c>
      <c r="D19" s="33">
        <f>SUM(D15:D18)</f>
        <v>-462475.7999999989</v>
      </c>
      <c r="E19" s="33">
        <f>SUM(E15:E18)</f>
        <v>4842735.09</v>
      </c>
      <c r="F19" s="33">
        <f>SUM(F15:F18)</f>
        <v>2265210.9900000007</v>
      </c>
      <c r="G19" s="29"/>
      <c r="H19" s="29"/>
      <c r="I19" s="29"/>
      <c r="J19" s="29"/>
      <c r="K19" s="29"/>
      <c r="L19" s="29"/>
      <c r="M19" s="29"/>
      <c r="N19" s="29"/>
    </row>
    <row r="20" spans="1:14" ht="15">
      <c r="A20" s="32" t="s">
        <v>76</v>
      </c>
      <c r="B20" s="33">
        <f>B9+B14+B19</f>
        <v>18664133.9</v>
      </c>
      <c r="C20" s="33">
        <f>C9+C14+C19</f>
        <v>19222349.669999998</v>
      </c>
      <c r="D20" s="33">
        <f>D9+D14+D19</f>
        <v>-558215.7699999993</v>
      </c>
      <c r="E20" s="33">
        <f>E9+E14+E19</f>
        <v>15965575.030000001</v>
      </c>
      <c r="F20" s="33">
        <f>F9+F14+F19</f>
        <v>2698558.87</v>
      </c>
      <c r="G20" s="29"/>
      <c r="H20" s="29"/>
      <c r="I20" s="29"/>
      <c r="J20" s="29"/>
      <c r="K20" s="29"/>
      <c r="L20" s="29"/>
      <c r="M20" s="29"/>
      <c r="N20" s="29"/>
    </row>
    <row r="21" spans="1:14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Головинов</cp:lastModifiedBy>
  <cp:lastPrinted>2022-04-13T04:50:43Z</cp:lastPrinted>
  <dcterms:created xsi:type="dcterms:W3CDTF">2022-04-07T10:20:29Z</dcterms:created>
  <dcterms:modified xsi:type="dcterms:W3CDTF">2022-06-29T04:01:14Z</dcterms:modified>
  <cp:category/>
  <cp:version/>
  <cp:contentType/>
  <cp:contentStatus/>
</cp:coreProperties>
</file>